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720" activeTab="0"/>
  </bookViews>
  <sheets>
    <sheet name="Feuil1" sheetId="1" r:id="rId1"/>
    <sheet name="Feuil2" sheetId="2" r:id="rId2"/>
    <sheet name="Feuil3" sheetId="3" r:id="rId3"/>
  </sheets>
  <definedNames>
    <definedName name="annuites">'Feuil1'!$J$33</definedName>
    <definedName name="bonif">'Feuil1'!$J$34</definedName>
    <definedName name="coeff">'Feuil1'!$D$49</definedName>
    <definedName name="cpa">'Feuil1'!$D$8</definedName>
    <definedName name="depart">'Feuil1'!$D$5</definedName>
    <definedName name="dispo">'Feuil1'!$D$7</definedName>
    <definedName name="enfants">'Feuil1'!$I$3</definedName>
    <definedName name="entree">'Feuil1'!$D$2</definedName>
    <definedName name="Indice">'Feuil1'!$J$5</definedName>
    <definedName name="limite">'Feuil1'!$D$6</definedName>
    <definedName name="majoration">'Feuil1'!$J$35</definedName>
    <definedName name="naissance">'Feuil1'!$D$1</definedName>
    <definedName name="Nb">'Feuil1'!$J$44</definedName>
    <definedName name="nb1">'Feuil1'!$I$29</definedName>
    <definedName name="Point">'Feuil1'!$M$4</definedName>
    <definedName name="Ref">'Feuil1'!$L$7:$O$24</definedName>
    <definedName name="SB">'Feuil1'!$E$26</definedName>
    <definedName name="SBM">'Feuil1'!$D$50</definedName>
    <definedName name="services">'Feuil1'!$D$3</definedName>
    <definedName name="sexe">'Feuil1'!$I$1</definedName>
    <definedName name="Taux">'Feuil1'!$J$43</definedName>
    <definedName name="_xlnm.Print_Area" localSheetId="0">'Feuil1'!$A$1:$K$55</definedName>
  </definedNames>
  <calcPr fullCalcOnLoad="1"/>
</workbook>
</file>

<file path=xl/sharedStrings.xml><?xml version="1.0" encoding="utf-8"?>
<sst xmlns="http://schemas.openxmlformats.org/spreadsheetml/2006/main" count="79" uniqueCount="59">
  <si>
    <t>Valeur du point d'indice</t>
  </si>
  <si>
    <t>Annuel :</t>
  </si>
  <si>
    <t>Mensuel :</t>
  </si>
  <si>
    <t>Nb Trim</t>
  </si>
  <si>
    <t>Anticip/trim</t>
  </si>
  <si>
    <t>Age</t>
  </si>
  <si>
    <t>Instituteur</t>
  </si>
  <si>
    <t>Indice détenu :</t>
  </si>
  <si>
    <t>Brut</t>
  </si>
  <si>
    <t>Net</t>
  </si>
  <si>
    <t>Traitement Mensuel</t>
  </si>
  <si>
    <t>Euros</t>
  </si>
  <si>
    <t>Francs</t>
  </si>
  <si>
    <t>Année de Naissance :</t>
  </si>
  <si>
    <t>Départ possible</t>
  </si>
  <si>
    <t>Départ envisagé</t>
  </si>
  <si>
    <t>Limite d'âge :</t>
  </si>
  <si>
    <t>Sexe (H/F)</t>
  </si>
  <si>
    <t>Age d'entrée :</t>
  </si>
  <si>
    <t>Services actifs (O/N) :</t>
  </si>
  <si>
    <t xml:space="preserve">Nb enfants </t>
  </si>
  <si>
    <t>Pension : système actuel</t>
  </si>
  <si>
    <t>Années non travaillées :</t>
  </si>
  <si>
    <t>Mi-Temps, CPA :</t>
  </si>
  <si>
    <t>Classes normales</t>
  </si>
  <si>
    <t>8ème</t>
  </si>
  <si>
    <t xml:space="preserve">9ème </t>
  </si>
  <si>
    <t>10ème</t>
  </si>
  <si>
    <t>11ème</t>
  </si>
  <si>
    <t>Certifié, CPE, PE, PLP</t>
  </si>
  <si>
    <t>PEGC, CE EPS</t>
  </si>
  <si>
    <t>Agrégé</t>
  </si>
  <si>
    <t>Hors-classes</t>
  </si>
  <si>
    <t>4ème</t>
  </si>
  <si>
    <t>5ème</t>
  </si>
  <si>
    <t>6ème</t>
  </si>
  <si>
    <t>7ème</t>
  </si>
  <si>
    <t>Classes exceptionnelles</t>
  </si>
  <si>
    <t>2ème</t>
  </si>
  <si>
    <t>3ème</t>
  </si>
  <si>
    <t>Majoration éventuelle :</t>
  </si>
  <si>
    <t>Bonifications :</t>
  </si>
  <si>
    <t>Nombre d'annuités :</t>
  </si>
  <si>
    <t>Annuités pour un taux plein</t>
  </si>
  <si>
    <t>Coefficient d'anticipation               (pénalité par trimestre manquant)</t>
  </si>
  <si>
    <t>Pension : projet de loi du 7 mai 2003</t>
  </si>
  <si>
    <t>Valeur d'une annuité</t>
  </si>
  <si>
    <t>Durée d'assurance</t>
  </si>
  <si>
    <t>Trimestres manquants</t>
  </si>
  <si>
    <t>Plafonnement de l'âge</t>
  </si>
  <si>
    <t>Pénalité d'anticipation</t>
  </si>
  <si>
    <t>Taux</t>
  </si>
  <si>
    <t>Variation</t>
  </si>
  <si>
    <t>Variation due à l'allongement</t>
  </si>
  <si>
    <t>Variation due à la décote</t>
  </si>
  <si>
    <t>Diminution de pension</t>
  </si>
  <si>
    <t>Salaire détenu 6 mois</t>
  </si>
  <si>
    <t>Les informations portées sur cette feuille intègrent les derniers éléments connus (15/05) mais comportent une incertitude sur la progressivité de leur mise en place</t>
  </si>
  <si>
    <t>H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</si>
</sst>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0\ &quot;€&quot;"/>
    <numFmt numFmtId="173" formatCode="0.0%"/>
    <numFmt numFmtId="174" formatCode="#,##0.00\ &quot;€&quot;"/>
    <numFmt numFmtId="175" formatCode="#,##0\ [$FRF]"/>
    <numFmt numFmtId="176" formatCode="#,##0&quot; F&quot;"/>
    <numFmt numFmtId="177" formatCode="_-* #,##0.0\ &quot;€&quot;_-;\-* #,##0.0\ &quot;€&quot;_-;_-* &quot;-&quot;??\ &quot;€&quot;_-;_-@_-"/>
    <numFmt numFmtId="178" formatCode="_-* #,##0\ &quot;€&quot;_-;\-* #,##0\ &quot;€&quot;_-;_-* &quot;-&quot;??\ &quot;€&quot;_-;_-@_-"/>
    <numFmt numFmtId="179" formatCode="#,##0&quot; F  &quot;"/>
    <numFmt numFmtId="180" formatCode="0.000%"/>
    <numFmt numFmtId="181" formatCode="0.0"/>
  </numFmts>
  <fonts count="14"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8"/>
      <name val="Verdana"/>
      <family val="2"/>
    </font>
    <font>
      <sz val="8"/>
      <name val="Verdana"/>
      <family val="0"/>
    </font>
    <font>
      <b/>
      <sz val="10"/>
      <color indexed="10"/>
      <name val="Tahoma"/>
      <family val="2"/>
    </font>
    <font>
      <sz val="10"/>
      <color indexed="9"/>
      <name val="Tahoma"/>
      <family val="2"/>
    </font>
    <font>
      <sz val="10"/>
      <name val="Arial Narrow"/>
      <family val="2"/>
    </font>
    <font>
      <b/>
      <sz val="18"/>
      <name val="Tahoma"/>
      <family val="2"/>
    </font>
    <font>
      <b/>
      <sz val="10"/>
      <color indexed="9"/>
      <name val="Tahoma"/>
      <family val="2"/>
    </font>
    <font>
      <sz val="10"/>
      <color indexed="45"/>
      <name val="Tahoma"/>
      <family val="2"/>
    </font>
    <font>
      <sz val="10"/>
      <color indexed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9" fontId="1" fillId="0" borderId="0" xfId="20" applyFont="1" applyAlignment="1">
      <alignment/>
    </xf>
    <xf numFmtId="0" fontId="12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>
      <alignment/>
    </xf>
    <xf numFmtId="180" fontId="1" fillId="0" borderId="1" xfId="2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3" fontId="1" fillId="3" borderId="8" xfId="2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73" fontId="1" fillId="4" borderId="1" xfId="2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9" fontId="1" fillId="2" borderId="8" xfId="2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5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5" borderId="0" xfId="0" applyFont="1" applyFill="1" applyAlignment="1" applyProtection="1">
      <alignment horizontal="center" vertical="center"/>
      <protection locked="0"/>
    </xf>
    <xf numFmtId="178" fontId="3" fillId="2" borderId="9" xfId="15" applyNumberFormat="1" applyFont="1" applyFill="1" applyBorder="1" applyAlignment="1">
      <alignment horizontal="center"/>
    </xf>
    <xf numFmtId="179" fontId="1" fillId="0" borderId="1" xfId="0" applyNumberFormat="1" applyFont="1" applyBorder="1" applyAlignment="1">
      <alignment horizontal="center"/>
    </xf>
    <xf numFmtId="179" fontId="1" fillId="0" borderId="11" xfId="0" applyNumberFormat="1" applyFont="1" applyBorder="1" applyAlignment="1">
      <alignment horizontal="center"/>
    </xf>
    <xf numFmtId="179" fontId="3" fillId="2" borderId="9" xfId="0" applyNumberFormat="1" applyFont="1" applyFill="1" applyBorder="1" applyAlignment="1">
      <alignment horizontal="center"/>
    </xf>
    <xf numFmtId="179" fontId="3" fillId="2" borderId="12" xfId="0" applyNumberFormat="1" applyFont="1" applyFill="1" applyBorder="1" applyAlignment="1">
      <alignment horizontal="center"/>
    </xf>
    <xf numFmtId="178" fontId="3" fillId="6" borderId="1" xfId="15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3" fontId="3" fillId="0" borderId="1" xfId="20" applyNumberFormat="1" applyFont="1" applyBorder="1" applyAlignment="1">
      <alignment horizontal="center" vertical="center"/>
    </xf>
    <xf numFmtId="173" fontId="3" fillId="0" borderId="11" xfId="20" applyNumberFormat="1" applyFont="1" applyBorder="1" applyAlignment="1">
      <alignment horizontal="center" vertical="center"/>
    </xf>
    <xf numFmtId="173" fontId="3" fillId="0" borderId="9" xfId="20" applyNumberFormat="1" applyFont="1" applyBorder="1" applyAlignment="1">
      <alignment horizontal="center" vertical="center"/>
    </xf>
    <xf numFmtId="173" fontId="3" fillId="0" borderId="12" xfId="2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78" fontId="1" fillId="0" borderId="1" xfId="15" applyNumberFormat="1" applyFont="1" applyBorder="1" applyAlignment="1">
      <alignment horizontal="center"/>
    </xf>
    <xf numFmtId="179" fontId="1" fillId="0" borderId="1" xfId="0" applyNumberFormat="1" applyFont="1" applyBorder="1" applyAlignment="1">
      <alignment horizontal="right"/>
    </xf>
    <xf numFmtId="179" fontId="1" fillId="0" borderId="11" xfId="0" applyNumberFormat="1" applyFont="1" applyBorder="1" applyAlignment="1">
      <alignment horizontal="right"/>
    </xf>
    <xf numFmtId="179" fontId="3" fillId="2" borderId="15" xfId="0" applyNumberFormat="1" applyFont="1" applyFill="1" applyBorder="1" applyAlignment="1">
      <alignment horizontal="right"/>
    </xf>
    <xf numFmtId="179" fontId="3" fillId="2" borderId="16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10" fontId="10" fillId="2" borderId="20" xfId="20" applyNumberFormat="1" applyFont="1" applyFill="1" applyBorder="1" applyAlignment="1">
      <alignment horizontal="center" vertical="center"/>
    </xf>
    <xf numFmtId="10" fontId="10" fillId="2" borderId="21" xfId="20" applyNumberFormat="1" applyFont="1" applyFill="1" applyBorder="1" applyAlignment="1">
      <alignment horizontal="center" vertical="center"/>
    </xf>
    <xf numFmtId="10" fontId="10" fillId="2" borderId="22" xfId="20" applyNumberFormat="1" applyFont="1" applyFill="1" applyBorder="1" applyAlignment="1">
      <alignment horizontal="center" vertical="center"/>
    </xf>
    <xf numFmtId="10" fontId="10" fillId="2" borderId="23" xfId="20" applyNumberFormat="1" applyFont="1" applyFill="1" applyBorder="1" applyAlignment="1">
      <alignment horizontal="center" vertical="center"/>
    </xf>
    <xf numFmtId="10" fontId="3" fillId="7" borderId="17" xfId="20" applyNumberFormat="1" applyFont="1" applyFill="1" applyBorder="1" applyAlignment="1">
      <alignment horizontal="center" vertical="center"/>
    </xf>
    <xf numFmtId="10" fontId="3" fillId="7" borderId="24" xfId="2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9" fontId="1" fillId="2" borderId="17" xfId="20" applyFont="1" applyFill="1" applyBorder="1" applyAlignment="1">
      <alignment horizontal="center"/>
    </xf>
    <xf numFmtId="180" fontId="1" fillId="3" borderId="1" xfId="2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78" fontId="3" fillId="6" borderId="6" xfId="15" applyNumberFormat="1" applyFont="1" applyFill="1" applyBorder="1" applyAlignment="1">
      <alignment/>
    </xf>
    <xf numFmtId="178" fontId="3" fillId="6" borderId="25" xfId="15" applyNumberFormat="1" applyFont="1" applyFill="1" applyBorder="1" applyAlignment="1">
      <alignment/>
    </xf>
    <xf numFmtId="10" fontId="11" fillId="0" borderId="0" xfId="2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5" fontId="7" fillId="8" borderId="6" xfId="15" applyNumberFormat="1" applyFont="1" applyFill="1" applyBorder="1" applyAlignment="1">
      <alignment horizontal="center"/>
    </xf>
    <xf numFmtId="5" fontId="7" fillId="8" borderId="25" xfId="15" applyNumberFormat="1" applyFont="1" applyFill="1" applyBorder="1" applyAlignment="1">
      <alignment horizontal="center"/>
    </xf>
    <xf numFmtId="0" fontId="7" fillId="8" borderId="26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179" fontId="7" fillId="8" borderId="6" xfId="15" applyNumberFormat="1" applyFont="1" applyFill="1" applyBorder="1" applyAlignment="1">
      <alignment horizontal="center"/>
    </xf>
    <xf numFmtId="179" fontId="7" fillId="8" borderId="25" xfId="15" applyNumberFormat="1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B13">
      <selection activeCell="O29" sqref="O29"/>
    </sheetView>
  </sheetViews>
  <sheetFormatPr defaultColWidth="11.421875" defaultRowHeight="12.75" customHeight="1"/>
  <cols>
    <col min="1" max="11" width="8.7109375" style="1" customWidth="1"/>
    <col min="12" max="16384" width="11.421875" style="1" customWidth="1"/>
  </cols>
  <sheetData>
    <row r="1" spans="1:13" ht="15" customHeight="1">
      <c r="A1" s="37" t="s">
        <v>13</v>
      </c>
      <c r="B1" s="37"/>
      <c r="C1" s="37"/>
      <c r="D1" s="50">
        <v>1953</v>
      </c>
      <c r="E1" s="50"/>
      <c r="G1" s="39" t="s">
        <v>17</v>
      </c>
      <c r="H1" s="39"/>
      <c r="I1" s="50" t="s">
        <v>58</v>
      </c>
      <c r="J1" s="50"/>
      <c r="L1" s="2" t="s">
        <v>0</v>
      </c>
      <c r="M1" s="3"/>
    </row>
    <row r="2" spans="1:13" ht="12.75" customHeight="1">
      <c r="A2" s="37" t="s">
        <v>18</v>
      </c>
      <c r="B2" s="37"/>
      <c r="C2" s="37"/>
      <c r="D2" s="50">
        <v>18</v>
      </c>
      <c r="E2" s="50"/>
      <c r="I2" s="9"/>
      <c r="J2" s="9"/>
      <c r="L2" s="2"/>
      <c r="M2" s="3"/>
    </row>
    <row r="3" spans="1:13" ht="12.75" customHeight="1">
      <c r="A3" s="37" t="s">
        <v>19</v>
      </c>
      <c r="B3" s="37"/>
      <c r="C3" s="37"/>
      <c r="D3" s="50"/>
      <c r="E3" s="50"/>
      <c r="G3" s="37" t="s">
        <v>20</v>
      </c>
      <c r="H3" s="37"/>
      <c r="I3" s="50">
        <v>3</v>
      </c>
      <c r="J3" s="50"/>
      <c r="L3" s="4" t="s">
        <v>1</v>
      </c>
      <c r="M3" s="5">
        <v>52.4933</v>
      </c>
    </row>
    <row r="4" spans="1:13" ht="12.75" customHeight="1">
      <c r="A4" s="37" t="s">
        <v>14</v>
      </c>
      <c r="B4" s="37"/>
      <c r="C4" s="37"/>
      <c r="D4" s="51">
        <f>+IF(services="o",naissance+55,naissance+60)</f>
        <v>2013</v>
      </c>
      <c r="E4" s="51"/>
      <c r="L4" s="4" t="s">
        <v>2</v>
      </c>
      <c r="M4" s="5">
        <f>+M3/12</f>
        <v>4.374441666666667</v>
      </c>
    </row>
    <row r="5" spans="1:11" ht="12.75" customHeight="1">
      <c r="A5" s="37" t="s">
        <v>15</v>
      </c>
      <c r="B5" s="37"/>
      <c r="C5" s="37"/>
      <c r="D5" s="50">
        <v>2013</v>
      </c>
      <c r="E5" s="50"/>
      <c r="G5" s="40" t="s">
        <v>7</v>
      </c>
      <c r="H5" s="40"/>
      <c r="I5" s="40"/>
      <c r="J5" s="52">
        <v>596</v>
      </c>
      <c r="K5" s="52"/>
    </row>
    <row r="6" spans="1:15" ht="12.75" customHeight="1">
      <c r="A6" s="37" t="s">
        <v>16</v>
      </c>
      <c r="B6" s="37"/>
      <c r="C6" s="37"/>
      <c r="D6" s="51">
        <f>+IF(ISBLANK(services),naissance+65,naissance+60)</f>
        <v>2018</v>
      </c>
      <c r="E6" s="51"/>
      <c r="G6" s="40"/>
      <c r="H6" s="40"/>
      <c r="I6" s="40"/>
      <c r="J6" s="52"/>
      <c r="K6" s="52"/>
      <c r="L6" s="6"/>
      <c r="M6" s="7" t="s">
        <v>3</v>
      </c>
      <c r="N6" s="7" t="s">
        <v>4</v>
      </c>
      <c r="O6" s="7" t="s">
        <v>5</v>
      </c>
    </row>
    <row r="7" spans="1:15" ht="12.75" customHeight="1">
      <c r="A7" s="37" t="s">
        <v>22</v>
      </c>
      <c r="B7" s="37"/>
      <c r="C7" s="37"/>
      <c r="D7" s="38"/>
      <c r="E7" s="38"/>
      <c r="I7" s="23">
        <f>+depart</f>
        <v>2013</v>
      </c>
      <c r="J7" s="24"/>
      <c r="K7" s="25"/>
      <c r="L7" s="14">
        <v>2003</v>
      </c>
      <c r="M7" s="7">
        <v>150</v>
      </c>
      <c r="N7" s="29">
        <v>0</v>
      </c>
      <c r="O7" s="7">
        <v>0</v>
      </c>
    </row>
    <row r="8" spans="1:15" ht="12.75" customHeight="1">
      <c r="A8" s="37" t="s">
        <v>23</v>
      </c>
      <c r="B8" s="37"/>
      <c r="C8" s="37"/>
      <c r="D8" s="38"/>
      <c r="E8" s="38"/>
      <c r="I8" s="23">
        <f>+Indice</f>
        <v>596</v>
      </c>
      <c r="J8" s="26"/>
      <c r="K8" s="27"/>
      <c r="L8" s="14">
        <v>2004</v>
      </c>
      <c r="M8" s="7">
        <v>152</v>
      </c>
      <c r="N8" s="29">
        <v>0</v>
      </c>
      <c r="O8" s="7">
        <v>-16</v>
      </c>
    </row>
    <row r="9" spans="1:15" ht="12.75" customHeight="1">
      <c r="A9" s="39"/>
      <c r="B9" s="39"/>
      <c r="C9" s="39"/>
      <c r="D9" s="37"/>
      <c r="E9" s="37"/>
      <c r="L9" s="14">
        <v>2005</v>
      </c>
      <c r="M9" s="7">
        <v>154</v>
      </c>
      <c r="N9" s="29">
        <v>0</v>
      </c>
      <c r="O9" s="7">
        <v>-15</v>
      </c>
    </row>
    <row r="10" spans="1:15" ht="12.75" customHeight="1">
      <c r="A10" s="89" t="s">
        <v>57</v>
      </c>
      <c r="B10" s="89"/>
      <c r="C10" s="89"/>
      <c r="D10" s="46" t="s">
        <v>24</v>
      </c>
      <c r="E10" s="46"/>
      <c r="F10" s="46"/>
      <c r="G10" s="10" t="s">
        <v>25</v>
      </c>
      <c r="H10" s="10" t="s">
        <v>26</v>
      </c>
      <c r="I10" s="10" t="s">
        <v>27</v>
      </c>
      <c r="J10" s="10" t="s">
        <v>28</v>
      </c>
      <c r="L10" s="14">
        <v>2006</v>
      </c>
      <c r="M10" s="7">
        <v>156</v>
      </c>
      <c r="N10" s="29">
        <v>0.0025</v>
      </c>
      <c r="O10" s="7">
        <v>-14</v>
      </c>
    </row>
    <row r="11" spans="1:15" ht="12.75" customHeight="1">
      <c r="A11" s="89"/>
      <c r="B11" s="89"/>
      <c r="C11" s="89"/>
      <c r="D11" s="30" t="s">
        <v>29</v>
      </c>
      <c r="E11" s="30"/>
      <c r="F11" s="30"/>
      <c r="G11" s="10">
        <v>530</v>
      </c>
      <c r="H11" s="10">
        <v>566</v>
      </c>
      <c r="I11" s="10">
        <v>611</v>
      </c>
      <c r="J11" s="10">
        <v>657</v>
      </c>
      <c r="L11" s="14">
        <v>2007</v>
      </c>
      <c r="M11" s="7">
        <v>158</v>
      </c>
      <c r="N11" s="29">
        <v>0.005</v>
      </c>
      <c r="O11" s="7">
        <v>-13</v>
      </c>
    </row>
    <row r="12" spans="1:15" ht="12.75" customHeight="1">
      <c r="A12" s="89"/>
      <c r="B12" s="89"/>
      <c r="C12" s="89"/>
      <c r="D12" s="30" t="s">
        <v>30</v>
      </c>
      <c r="E12" s="30"/>
      <c r="F12" s="30"/>
      <c r="G12" s="10">
        <v>457</v>
      </c>
      <c r="H12" s="10">
        <v>481</v>
      </c>
      <c r="I12" s="10">
        <v>510</v>
      </c>
      <c r="J12" s="10">
        <v>539</v>
      </c>
      <c r="L12" s="14">
        <v>2008</v>
      </c>
      <c r="M12" s="7">
        <v>160</v>
      </c>
      <c r="N12" s="29">
        <v>0.0075</v>
      </c>
      <c r="O12" s="7">
        <v>-12</v>
      </c>
    </row>
    <row r="13" spans="1:15" ht="12.75" customHeight="1">
      <c r="A13" s="89"/>
      <c r="B13" s="89"/>
      <c r="C13" s="89"/>
      <c r="D13" s="30" t="s">
        <v>6</v>
      </c>
      <c r="E13" s="30"/>
      <c r="F13" s="30"/>
      <c r="G13" s="10">
        <v>419</v>
      </c>
      <c r="H13" s="10">
        <v>440</v>
      </c>
      <c r="I13" s="10">
        <v>468</v>
      </c>
      <c r="J13" s="10">
        <v>514</v>
      </c>
      <c r="L13" s="14">
        <v>2009</v>
      </c>
      <c r="M13" s="7">
        <v>161</v>
      </c>
      <c r="N13" s="29">
        <v>0.00875</v>
      </c>
      <c r="O13" s="7">
        <v>-11</v>
      </c>
    </row>
    <row r="14" spans="1:15" ht="12.75" customHeight="1">
      <c r="A14" s="89"/>
      <c r="B14" s="89"/>
      <c r="C14" s="89"/>
      <c r="D14" s="30" t="s">
        <v>31</v>
      </c>
      <c r="E14" s="30"/>
      <c r="F14" s="30"/>
      <c r="G14" s="10">
        <v>683</v>
      </c>
      <c r="H14" s="10">
        <v>733</v>
      </c>
      <c r="I14" s="10">
        <v>782</v>
      </c>
      <c r="J14" s="10">
        <v>820</v>
      </c>
      <c r="L14" s="14">
        <v>2010</v>
      </c>
      <c r="M14" s="7">
        <v>162</v>
      </c>
      <c r="N14" s="29">
        <v>0.01</v>
      </c>
      <c r="O14" s="7">
        <v>-10</v>
      </c>
    </row>
    <row r="15" spans="1:15" ht="12.75" customHeight="1">
      <c r="A15" s="89"/>
      <c r="B15" s="89"/>
      <c r="C15" s="89"/>
      <c r="D15" s="11"/>
      <c r="G15" s="12"/>
      <c r="H15" s="12"/>
      <c r="I15" s="12"/>
      <c r="J15" s="12"/>
      <c r="L15" s="14">
        <v>2011</v>
      </c>
      <c r="M15" s="7">
        <v>163</v>
      </c>
      <c r="N15" s="29">
        <v>0.01125</v>
      </c>
      <c r="O15" s="7">
        <v>-9</v>
      </c>
    </row>
    <row r="16" spans="1:15" ht="12.75" customHeight="1">
      <c r="A16" s="89"/>
      <c r="B16" s="89"/>
      <c r="C16" s="89"/>
      <c r="D16" s="46" t="s">
        <v>32</v>
      </c>
      <c r="E16" s="46"/>
      <c r="F16" s="46"/>
      <c r="G16" s="10" t="s">
        <v>33</v>
      </c>
      <c r="H16" s="10" t="s">
        <v>34</v>
      </c>
      <c r="I16" s="10" t="s">
        <v>35</v>
      </c>
      <c r="J16" s="10" t="s">
        <v>36</v>
      </c>
      <c r="L16" s="14">
        <v>2012</v>
      </c>
      <c r="M16" s="7">
        <v>164</v>
      </c>
      <c r="N16" s="29">
        <v>0.0125</v>
      </c>
      <c r="O16" s="7">
        <v>-8</v>
      </c>
    </row>
    <row r="17" spans="1:15" ht="12.75" customHeight="1">
      <c r="A17" s="89"/>
      <c r="B17" s="89"/>
      <c r="C17" s="89"/>
      <c r="D17" s="30" t="s">
        <v>29</v>
      </c>
      <c r="E17" s="30"/>
      <c r="F17" s="30"/>
      <c r="G17" s="10">
        <v>641</v>
      </c>
      <c r="H17" s="10">
        <v>694</v>
      </c>
      <c r="I17" s="10">
        <v>740</v>
      </c>
      <c r="J17" s="10">
        <v>782</v>
      </c>
      <c r="L17" s="14">
        <v>2013</v>
      </c>
      <c r="M17" s="7">
        <v>164</v>
      </c>
      <c r="N17" s="29">
        <v>0.0125</v>
      </c>
      <c r="O17" s="7">
        <v>-7</v>
      </c>
    </row>
    <row r="18" spans="1:15" ht="12.75" customHeight="1">
      <c r="A18" s="89"/>
      <c r="B18" s="89"/>
      <c r="C18" s="89"/>
      <c r="D18" s="30" t="s">
        <v>30</v>
      </c>
      <c r="E18" s="30"/>
      <c r="F18" s="30"/>
      <c r="G18" s="10">
        <v>538</v>
      </c>
      <c r="H18" s="10">
        <v>611</v>
      </c>
      <c r="I18" s="10">
        <v>657</v>
      </c>
      <c r="J18" s="13"/>
      <c r="L18" s="14">
        <v>2014</v>
      </c>
      <c r="M18" s="7">
        <v>165</v>
      </c>
      <c r="N18" s="29">
        <v>0.0125</v>
      </c>
      <c r="O18" s="7">
        <v>-6</v>
      </c>
    </row>
    <row r="19" spans="1:15" ht="12.75" customHeight="1">
      <c r="A19" s="89"/>
      <c r="B19" s="89"/>
      <c r="C19" s="89"/>
      <c r="D19" s="30" t="s">
        <v>31</v>
      </c>
      <c r="E19" s="30"/>
      <c r="F19" s="30"/>
      <c r="G19" s="10">
        <v>782</v>
      </c>
      <c r="H19" s="10">
        <v>820</v>
      </c>
      <c r="I19" s="13"/>
      <c r="J19" s="13"/>
      <c r="L19" s="14">
        <v>2015</v>
      </c>
      <c r="M19" s="7">
        <v>165</v>
      </c>
      <c r="N19" s="29">
        <v>0.0125</v>
      </c>
      <c r="O19" s="7">
        <v>-5</v>
      </c>
    </row>
    <row r="20" spans="1:15" ht="12.75" customHeight="1">
      <c r="A20" s="89"/>
      <c r="B20" s="89"/>
      <c r="C20" s="89"/>
      <c r="D20" s="11"/>
      <c r="G20" s="12"/>
      <c r="H20" s="12"/>
      <c r="I20" s="12"/>
      <c r="J20" s="12"/>
      <c r="L20" s="14">
        <v>2016</v>
      </c>
      <c r="M20" s="7">
        <v>166</v>
      </c>
      <c r="N20" s="29">
        <v>0.0125</v>
      </c>
      <c r="O20" s="7">
        <v>-4</v>
      </c>
    </row>
    <row r="21" spans="4:15" ht="12.75" customHeight="1">
      <c r="D21" s="46" t="s">
        <v>37</v>
      </c>
      <c r="E21" s="46"/>
      <c r="F21" s="46"/>
      <c r="G21" s="10" t="s">
        <v>38</v>
      </c>
      <c r="H21" s="10" t="s">
        <v>39</v>
      </c>
      <c r="I21" s="10" t="s">
        <v>33</v>
      </c>
      <c r="J21" s="10" t="s">
        <v>34</v>
      </c>
      <c r="L21" s="14">
        <v>2017</v>
      </c>
      <c r="M21" s="7">
        <v>166</v>
      </c>
      <c r="N21" s="29">
        <v>0.0125</v>
      </c>
      <c r="O21" s="7">
        <v>-3</v>
      </c>
    </row>
    <row r="22" spans="4:15" ht="12.75" customHeight="1">
      <c r="D22" s="30" t="s">
        <v>30</v>
      </c>
      <c r="E22" s="30"/>
      <c r="F22" s="30"/>
      <c r="G22" s="10">
        <v>663</v>
      </c>
      <c r="H22" s="10">
        <v>694</v>
      </c>
      <c r="I22" s="10">
        <v>740</v>
      </c>
      <c r="J22" s="10">
        <v>782</v>
      </c>
      <c r="L22" s="14">
        <v>2018</v>
      </c>
      <c r="M22" s="7">
        <v>167</v>
      </c>
      <c r="N22" s="29">
        <v>0.0125</v>
      </c>
      <c r="O22" s="7">
        <v>-2</v>
      </c>
    </row>
    <row r="23" spans="12:15" ht="12.75" customHeight="1">
      <c r="L23" s="14">
        <v>2019</v>
      </c>
      <c r="M23" s="7">
        <v>167</v>
      </c>
      <c r="N23" s="29">
        <v>0.0125</v>
      </c>
      <c r="O23" s="7">
        <v>-1</v>
      </c>
    </row>
    <row r="24" spans="1:15" ht="12.75" customHeight="1" thickBot="1">
      <c r="A24" s="2" t="s">
        <v>10</v>
      </c>
      <c r="B24" s="2"/>
      <c r="C24" s="2"/>
      <c r="L24" s="14">
        <v>2020</v>
      </c>
      <c r="M24" s="7">
        <v>168</v>
      </c>
      <c r="N24" s="29">
        <v>0.0125</v>
      </c>
      <c r="O24" s="7">
        <v>0</v>
      </c>
    </row>
    <row r="25" spans="4:8" ht="12.75" customHeight="1">
      <c r="D25" s="15"/>
      <c r="E25" s="31" t="s">
        <v>11</v>
      </c>
      <c r="F25" s="31"/>
      <c r="G25" s="31" t="s">
        <v>12</v>
      </c>
      <c r="H25" s="47"/>
    </row>
    <row r="26" spans="4:8" ht="12.75" customHeight="1">
      <c r="D26" s="17" t="s">
        <v>8</v>
      </c>
      <c r="E26" s="58">
        <f>+Indice*Point</f>
        <v>2607.1672333333336</v>
      </c>
      <c r="F26" s="58"/>
      <c r="G26" s="54">
        <f>+E26*6.55957</f>
        <v>17101.895968756333</v>
      </c>
      <c r="H26" s="55"/>
    </row>
    <row r="27" spans="4:8" ht="12.75" customHeight="1" thickBot="1">
      <c r="D27" s="18" t="s">
        <v>9</v>
      </c>
      <c r="E27" s="53">
        <f>+E26*0.815</f>
        <v>2124.841295166667</v>
      </c>
      <c r="F27" s="53"/>
      <c r="G27" s="56">
        <f>+E27*6.55957</f>
        <v>13938.045214536412</v>
      </c>
      <c r="H27" s="57"/>
    </row>
    <row r="28" ht="3.75" customHeight="1" thickBot="1"/>
    <row r="29" spans="1:10" ht="12.75" customHeight="1">
      <c r="A29" s="2" t="s">
        <v>21</v>
      </c>
      <c r="B29" s="2"/>
      <c r="C29" s="2"/>
      <c r="E29" s="41" t="s">
        <v>43</v>
      </c>
      <c r="F29" s="31"/>
      <c r="G29" s="31"/>
      <c r="H29" s="31"/>
      <c r="I29" s="59">
        <v>37.5</v>
      </c>
      <c r="J29" s="60"/>
    </row>
    <row r="30" spans="5:10" ht="12.75" customHeight="1">
      <c r="E30" s="42" t="s">
        <v>44</v>
      </c>
      <c r="F30" s="43"/>
      <c r="G30" s="43"/>
      <c r="H30" s="43"/>
      <c r="I30" s="61">
        <v>0</v>
      </c>
      <c r="J30" s="62"/>
    </row>
    <row r="31" spans="2:10" ht="12.75" customHeight="1" thickBot="1">
      <c r="B31" s="35">
        <f>depart</f>
        <v>2013</v>
      </c>
      <c r="C31" s="35"/>
      <c r="E31" s="44"/>
      <c r="F31" s="45"/>
      <c r="G31" s="45"/>
      <c r="H31" s="45"/>
      <c r="I31" s="63"/>
      <c r="J31" s="64"/>
    </row>
    <row r="32" spans="5:10" ht="3.75" customHeight="1">
      <c r="E32" s="8"/>
      <c r="F32" s="8"/>
      <c r="G32" s="8"/>
      <c r="H32" s="8"/>
      <c r="I32" s="3"/>
      <c r="J32" s="3"/>
    </row>
    <row r="33" spans="7:14" ht="12.75" customHeight="1" thickBot="1">
      <c r="G33" s="48" t="s">
        <v>42</v>
      </c>
      <c r="H33" s="48"/>
      <c r="I33" s="48"/>
      <c r="J33" s="73">
        <f>+depart-(naissance+entree)-dispo-(cpa/2)</f>
        <v>42</v>
      </c>
      <c r="K33" s="73"/>
      <c r="N33" s="22"/>
    </row>
    <row r="34" spans="7:11" ht="12.75" customHeight="1" thickBot="1">
      <c r="G34" s="48" t="s">
        <v>41</v>
      </c>
      <c r="H34" s="48"/>
      <c r="I34" s="49"/>
      <c r="J34" s="74">
        <f>+IF(sexe="F",enfants,0)</f>
        <v>0</v>
      </c>
      <c r="K34" s="75"/>
    </row>
    <row r="35" spans="7:11" ht="12.75" customHeight="1">
      <c r="G35" s="48" t="s">
        <v>40</v>
      </c>
      <c r="H35" s="48"/>
      <c r="I35" s="48"/>
      <c r="J35" s="36">
        <f>+IF(enfants=3,0.1,IF(enfants=4,0.15,IF(enfants=5,0.2,0)))</f>
        <v>0.1</v>
      </c>
      <c r="K35" s="36"/>
    </row>
    <row r="36" ht="3.75" customHeight="1" thickBot="1"/>
    <row r="37" spans="3:8" ht="12.75" customHeight="1">
      <c r="C37" s="15"/>
      <c r="D37" s="16" t="s">
        <v>51</v>
      </c>
      <c r="E37" s="31" t="s">
        <v>11</v>
      </c>
      <c r="F37" s="31"/>
      <c r="G37" s="31" t="s">
        <v>12</v>
      </c>
      <c r="H37" s="47"/>
    </row>
    <row r="38" spans="1:8" ht="12.75" customHeight="1">
      <c r="A38" s="88">
        <f>+IF(annuites&gt;37.5,0.75+(bonif*0.02),(annuites+bonif)*0.02)</f>
        <v>0.75</v>
      </c>
      <c r="C38" s="17" t="s">
        <v>8</v>
      </c>
      <c r="D38" s="80">
        <f>+IF(A38&gt;0.8,0.8,A38)</f>
        <v>0.75</v>
      </c>
      <c r="E38" s="68">
        <f>D38*SB*(1+majoration)</f>
        <v>2150.9129675000004</v>
      </c>
      <c r="F38" s="68"/>
      <c r="G38" s="69">
        <f>+E38*6.55957</f>
        <v>14109.064174223977</v>
      </c>
      <c r="H38" s="70"/>
    </row>
    <row r="39" spans="1:8" ht="12.75" customHeight="1" thickBot="1">
      <c r="A39" s="88"/>
      <c r="C39" s="18" t="s">
        <v>9</v>
      </c>
      <c r="D39" s="81"/>
      <c r="E39" s="53">
        <f>+E38*0.908</f>
        <v>1953.0289744900003</v>
      </c>
      <c r="F39" s="53"/>
      <c r="G39" s="71">
        <f>+E39*6.55957</f>
        <v>12811.030270195371</v>
      </c>
      <c r="H39" s="72"/>
    </row>
    <row r="41" ht="12.75" customHeight="1">
      <c r="A41" s="2" t="s">
        <v>45</v>
      </c>
    </row>
    <row r="42" ht="3.75" customHeight="1"/>
    <row r="43" spans="1:11" ht="12.75" customHeight="1">
      <c r="A43" s="48" t="s">
        <v>43</v>
      </c>
      <c r="B43" s="48"/>
      <c r="C43" s="48"/>
      <c r="D43" s="65">
        <f>+IF(depart&gt;2020,42,VLOOKUP(depart,Ref,2)/4)</f>
        <v>41</v>
      </c>
      <c r="E43" s="65"/>
      <c r="G43" s="48" t="s">
        <v>46</v>
      </c>
      <c r="H43" s="48"/>
      <c r="I43" s="48"/>
      <c r="J43" s="84">
        <f>0.75/D43</f>
        <v>0.018292682926829267</v>
      </c>
      <c r="K43" s="84"/>
    </row>
    <row r="44" spans="1:11" ht="12.75" customHeight="1" thickBot="1">
      <c r="A44" s="43" t="s">
        <v>44</v>
      </c>
      <c r="B44" s="43"/>
      <c r="C44" s="43"/>
      <c r="D44" s="61">
        <f>+IF(depart&gt;2020,0.015,VLOOKUP(depart,Ref,3))</f>
        <v>0.0125</v>
      </c>
      <c r="E44" s="61"/>
      <c r="G44" s="48" t="s">
        <v>42</v>
      </c>
      <c r="H44" s="48"/>
      <c r="I44" s="48"/>
      <c r="J44" s="85">
        <f>+depart-(naissance+entree)-dispo-(cpa/2)</f>
        <v>42</v>
      </c>
      <c r="K44" s="85"/>
    </row>
    <row r="45" spans="1:13" ht="12.75" customHeight="1" thickBot="1">
      <c r="A45" s="43"/>
      <c r="B45" s="43"/>
      <c r="C45" s="43"/>
      <c r="D45" s="61"/>
      <c r="E45" s="61"/>
      <c r="G45" s="48" t="s">
        <v>41</v>
      </c>
      <c r="H45" s="48"/>
      <c r="I45" s="48"/>
      <c r="J45" s="74">
        <f>+IF(sexe="F",IF(enfants&gt;2.5,2.5,enfants),0)</f>
        <v>0</v>
      </c>
      <c r="K45" s="75"/>
      <c r="M45" s="21"/>
    </row>
    <row r="46" spans="1:11" ht="12.75" customHeight="1">
      <c r="A46" s="48" t="s">
        <v>47</v>
      </c>
      <c r="B46" s="48"/>
      <c r="C46" s="48"/>
      <c r="D46" s="48">
        <f>+depart-(naissance+entree)-dispo</f>
        <v>42</v>
      </c>
      <c r="E46" s="48"/>
      <c r="F46" s="8"/>
      <c r="G46" s="82" t="s">
        <v>40</v>
      </c>
      <c r="H46" s="82"/>
      <c r="I46" s="82"/>
      <c r="J46" s="83">
        <f>+IF(enfants=3,0.1,IF(enfants=4,0.15,IF(enfants=5,0.2,0)))</f>
        <v>0.1</v>
      </c>
      <c r="K46" s="83"/>
    </row>
    <row r="47" spans="1:11" ht="12.75" customHeight="1">
      <c r="A47" s="48" t="s">
        <v>48</v>
      </c>
      <c r="B47" s="48"/>
      <c r="C47" s="48"/>
      <c r="D47" s="48">
        <f>+IF((D43-D46)*4&gt;0,(D43-D46)*4,0)</f>
        <v>0</v>
      </c>
      <c r="E47" s="48"/>
      <c r="G47" s="28" t="s">
        <v>53</v>
      </c>
      <c r="H47" s="28"/>
      <c r="I47" s="28"/>
      <c r="J47" s="32">
        <f>+(Nb+bonif)*(Taux-0.02)</f>
        <v>-0.0717073170731708</v>
      </c>
      <c r="K47" s="32"/>
    </row>
    <row r="48" spans="1:11" ht="12.75" customHeight="1">
      <c r="A48" s="48" t="s">
        <v>49</v>
      </c>
      <c r="B48" s="48"/>
      <c r="C48" s="48"/>
      <c r="D48" s="48" t="str">
        <f>+IF(depart=limite,"OUI",IF(depart&gt;=limite-(VLOOKUP(depart,Ref,4)/4),"OUI","NON"))</f>
        <v>NON</v>
      </c>
      <c r="E48" s="48"/>
      <c r="F48" s="19">
        <f>+VLOOKUP(depart,Ref,4)/4</f>
        <v>-1.75</v>
      </c>
      <c r="G48" s="33" t="s">
        <v>54</v>
      </c>
      <c r="H48" s="33"/>
      <c r="I48" s="33"/>
      <c r="J48" s="34">
        <f>-D49</f>
        <v>0</v>
      </c>
      <c r="K48" s="34"/>
    </row>
    <row r="49" spans="1:11" ht="12.75" customHeight="1">
      <c r="A49" s="48" t="s">
        <v>50</v>
      </c>
      <c r="B49" s="48"/>
      <c r="C49" s="48"/>
      <c r="D49" s="34">
        <f>+IF(D48="OUI",0,IF((depart-naissance)&gt;(limite-$F$48),0,IF(D47&gt;20,20*D44,$D$47*D44)))</f>
        <v>0</v>
      </c>
      <c r="E49" s="34"/>
      <c r="G49" s="92" t="s">
        <v>55</v>
      </c>
      <c r="H49" s="93"/>
      <c r="I49" s="94"/>
      <c r="J49" s="98">
        <f>+G54-G39</f>
        <v>0</v>
      </c>
      <c r="K49" s="99"/>
    </row>
    <row r="50" spans="1:11" ht="12.75" customHeight="1">
      <c r="A50" s="48" t="s">
        <v>56</v>
      </c>
      <c r="B50" s="48"/>
      <c r="C50" s="48"/>
      <c r="D50" s="86">
        <f>+SB</f>
        <v>2607.1672333333336</v>
      </c>
      <c r="E50" s="87"/>
      <c r="G50" s="95"/>
      <c r="H50" s="96"/>
      <c r="I50" s="97"/>
      <c r="J50" s="90">
        <f>E54-E39</f>
        <v>0</v>
      </c>
      <c r="K50" s="91"/>
    </row>
    <row r="51" spans="1:3" ht="12.75" customHeight="1" thickBot="1">
      <c r="A51" s="37"/>
      <c r="B51" s="37"/>
      <c r="C51" s="37"/>
    </row>
    <row r="52" spans="3:15" ht="12.75" customHeight="1">
      <c r="C52" s="15"/>
      <c r="D52" s="16" t="s">
        <v>51</v>
      </c>
      <c r="E52" s="31" t="s">
        <v>11</v>
      </c>
      <c r="F52" s="31"/>
      <c r="G52" s="31" t="s">
        <v>12</v>
      </c>
      <c r="H52" s="47"/>
      <c r="J52" s="66" t="s">
        <v>52</v>
      </c>
      <c r="K52" s="67"/>
      <c r="L52" s="20"/>
      <c r="M52" s="20"/>
      <c r="N52" s="20"/>
      <c r="O52" s="20"/>
    </row>
    <row r="53" spans="1:15" ht="12.75" customHeight="1">
      <c r="A53" s="88">
        <f>+((Nb+bonif)*Taux)*(1-coeff)</f>
        <v>0.7682926829268292</v>
      </c>
      <c r="C53" s="17" t="s">
        <v>8</v>
      </c>
      <c r="D53" s="80">
        <f>+IF(annuites&gt;D43,D43*Taux,A53)</f>
        <v>0.75</v>
      </c>
      <c r="E53" s="68">
        <f>+D53*SBM*(1+majoration)</f>
        <v>2150.9129675000004</v>
      </c>
      <c r="F53" s="68"/>
      <c r="G53" s="69">
        <f>+E53*6.55957</f>
        <v>14109.064174223977</v>
      </c>
      <c r="H53" s="70"/>
      <c r="J53" s="76">
        <f>(E54/E39)-1</f>
        <v>0</v>
      </c>
      <c r="K53" s="77"/>
      <c r="L53" s="20"/>
      <c r="M53" s="20"/>
      <c r="N53" s="20"/>
      <c r="O53" s="20"/>
    </row>
    <row r="54" spans="1:15" ht="12.75" customHeight="1" thickBot="1">
      <c r="A54" s="88"/>
      <c r="C54" s="18" t="s">
        <v>9</v>
      </c>
      <c r="D54" s="81"/>
      <c r="E54" s="53">
        <f>+E53*0.908</f>
        <v>1953.0289744900003</v>
      </c>
      <c r="F54" s="53"/>
      <c r="G54" s="71">
        <f>+E54*6.55957</f>
        <v>12811.030270195371</v>
      </c>
      <c r="H54" s="72"/>
      <c r="J54" s="76"/>
      <c r="K54" s="77"/>
      <c r="L54" s="20"/>
      <c r="M54" s="20"/>
      <c r="N54" s="20"/>
      <c r="O54" s="20"/>
    </row>
    <row r="55" spans="10:15" ht="12.75" customHeight="1" thickBot="1">
      <c r="J55" s="78"/>
      <c r="K55" s="79"/>
      <c r="L55" s="20"/>
      <c r="M55" s="20"/>
      <c r="N55" s="20"/>
      <c r="O55" s="20"/>
    </row>
    <row r="56" spans="1:15" s="20" customFormat="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0" customFormat="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0" customFormat="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0" customFormat="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sheetProtection/>
  <mergeCells count="100">
    <mergeCell ref="J50:K50"/>
    <mergeCell ref="G49:I50"/>
    <mergeCell ref="J49:K49"/>
    <mergeCell ref="A38:A39"/>
    <mergeCell ref="A48:C48"/>
    <mergeCell ref="A49:C49"/>
    <mergeCell ref="A50:C50"/>
    <mergeCell ref="A46:C46"/>
    <mergeCell ref="D46:E46"/>
    <mergeCell ref="A53:A54"/>
    <mergeCell ref="E52:F52"/>
    <mergeCell ref="E53:F53"/>
    <mergeCell ref="E54:F54"/>
    <mergeCell ref="A51:C51"/>
    <mergeCell ref="D48:E48"/>
    <mergeCell ref="D49:E49"/>
    <mergeCell ref="D50:E50"/>
    <mergeCell ref="A47:C47"/>
    <mergeCell ref="D47:E47"/>
    <mergeCell ref="A44:C45"/>
    <mergeCell ref="A43:C43"/>
    <mergeCell ref="J43:K43"/>
    <mergeCell ref="D44:E45"/>
    <mergeCell ref="G44:I44"/>
    <mergeCell ref="J44:K44"/>
    <mergeCell ref="G53:H53"/>
    <mergeCell ref="G54:H54"/>
    <mergeCell ref="J53:K55"/>
    <mergeCell ref="D38:D39"/>
    <mergeCell ref="D53:D54"/>
    <mergeCell ref="G45:I45"/>
    <mergeCell ref="J45:K45"/>
    <mergeCell ref="G46:I46"/>
    <mergeCell ref="J46:K46"/>
    <mergeCell ref="G52:H52"/>
    <mergeCell ref="I29:J29"/>
    <mergeCell ref="I30:J31"/>
    <mergeCell ref="D43:E43"/>
    <mergeCell ref="J52:K52"/>
    <mergeCell ref="E38:F38"/>
    <mergeCell ref="G38:H38"/>
    <mergeCell ref="E39:F39"/>
    <mergeCell ref="G39:H39"/>
    <mergeCell ref="J33:K33"/>
    <mergeCell ref="J34:K34"/>
    <mergeCell ref="E27:F27"/>
    <mergeCell ref="G25:H25"/>
    <mergeCell ref="G26:H26"/>
    <mergeCell ref="G27:H27"/>
    <mergeCell ref="E26:F26"/>
    <mergeCell ref="I1:J1"/>
    <mergeCell ref="G3:H3"/>
    <mergeCell ref="I3:J3"/>
    <mergeCell ref="A7:C7"/>
    <mergeCell ref="D4:E4"/>
    <mergeCell ref="D5:E5"/>
    <mergeCell ref="D6:E6"/>
    <mergeCell ref="G1:H1"/>
    <mergeCell ref="J5:K6"/>
    <mergeCell ref="A1:C1"/>
    <mergeCell ref="A2:C2"/>
    <mergeCell ref="A3:C3"/>
    <mergeCell ref="D1:E1"/>
    <mergeCell ref="D2:E2"/>
    <mergeCell ref="D3:E3"/>
    <mergeCell ref="E29:H29"/>
    <mergeCell ref="E30:H31"/>
    <mergeCell ref="E37:F37"/>
    <mergeCell ref="D9:E9"/>
    <mergeCell ref="D10:F10"/>
    <mergeCell ref="D16:F16"/>
    <mergeCell ref="D21:F21"/>
    <mergeCell ref="D11:F11"/>
    <mergeCell ref="D12:F12"/>
    <mergeCell ref="D13:F13"/>
    <mergeCell ref="D22:F22"/>
    <mergeCell ref="E25:F25"/>
    <mergeCell ref="D17:F17"/>
    <mergeCell ref="D18:F18"/>
    <mergeCell ref="D19:F19"/>
    <mergeCell ref="A9:C9"/>
    <mergeCell ref="D7:E7"/>
    <mergeCell ref="G5:I6"/>
    <mergeCell ref="D14:F14"/>
    <mergeCell ref="A10:C20"/>
    <mergeCell ref="A4:C4"/>
    <mergeCell ref="A5:C5"/>
    <mergeCell ref="A6:C6"/>
    <mergeCell ref="D8:E8"/>
    <mergeCell ref="A8:C8"/>
    <mergeCell ref="J47:K47"/>
    <mergeCell ref="G48:I48"/>
    <mergeCell ref="J48:K48"/>
    <mergeCell ref="B31:C31"/>
    <mergeCell ref="J35:K35"/>
    <mergeCell ref="G37:H37"/>
    <mergeCell ref="G33:I33"/>
    <mergeCell ref="G34:I34"/>
    <mergeCell ref="G35:I35"/>
    <mergeCell ref="G43:I43"/>
  </mergeCells>
  <conditionalFormatting sqref="J53:K55">
    <cfRule type="cellIs" priority="1" dxfId="0" operator="lessThan" stopIfTrue="1">
      <formula>0</formula>
    </cfRule>
    <cfRule type="cellIs" priority="2" dxfId="1" operator="greaterThanOrEqual" stopIfTrue="1">
      <formula>0</formula>
    </cfRule>
  </conditionalFormatting>
  <printOptions verticalCentered="1"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  <headerFooter alignWithMargins="0">
    <oddFooter>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SE-UNSA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BARBIER</dc:creator>
  <cp:keywords/>
  <dc:description/>
  <cp:lastModifiedBy>Guy BARBIER</cp:lastModifiedBy>
  <cp:lastPrinted>2003-05-13T13:08:19Z</cp:lastPrinted>
  <dcterms:created xsi:type="dcterms:W3CDTF">2003-05-08T08:11:52Z</dcterms:created>
  <dcterms:modified xsi:type="dcterms:W3CDTF">2003-05-17T07:42:01Z</dcterms:modified>
  <cp:category/>
  <cp:version/>
  <cp:contentType/>
  <cp:contentStatus/>
</cp:coreProperties>
</file>